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\Desktop\Central Soluções\Condomínios\Associação AmorVille\AGO 29092022\"/>
    </mc:Choice>
  </mc:AlternateContent>
  <xr:revisionPtr revIDLastSave="0" documentId="13_ncr:1_{C6047816-59BA-4066-8718-3773DE6EB8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morville S. Reajuste" sheetId="9" r:id="rId1"/>
    <sheet name="Planilha1" sheetId="10" r:id="rId2"/>
    <sheet name="Planilha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9" l="1"/>
  <c r="C11" i="11"/>
  <c r="C13" i="11" s="1"/>
  <c r="R16" i="10"/>
  <c r="R18" i="10" s="1"/>
  <c r="T15" i="10"/>
  <c r="T12" i="10"/>
  <c r="N11" i="10"/>
  <c r="N12" i="10" s="1"/>
  <c r="L11" i="10"/>
  <c r="L12" i="10" s="1"/>
  <c r="L13" i="10" s="1"/>
  <c r="L14" i="10" s="1"/>
  <c r="L17" i="10" s="1"/>
  <c r="F11" i="10"/>
  <c r="F12" i="10" s="1"/>
  <c r="E11" i="10"/>
  <c r="E12" i="10" s="1"/>
  <c r="E16" i="10" l="1"/>
  <c r="H14" i="10"/>
  <c r="E19" i="10"/>
  <c r="F14" i="10"/>
  <c r="F16" i="10" s="1"/>
  <c r="N14" i="10"/>
  <c r="N17" i="10"/>
  <c r="C20" i="11"/>
  <c r="C25" i="11" s="1"/>
  <c r="C27" i="11"/>
  <c r="C29" i="11" s="1"/>
  <c r="C15" i="11"/>
  <c r="C17" i="11" s="1"/>
  <c r="C22" i="11"/>
  <c r="F17" i="10" l="1"/>
  <c r="F19" i="10" s="1"/>
  <c r="P14" i="10"/>
  <c r="P17" i="10" s="1"/>
  <c r="H17" i="10"/>
  <c r="H16" i="10"/>
  <c r="F18" i="10" l="1"/>
  <c r="E17" i="9" l="1"/>
  <c r="E87" i="9"/>
  <c r="E86" i="9"/>
  <c r="E83" i="9"/>
  <c r="D79" i="9"/>
  <c r="E79" i="9" s="1"/>
  <c r="E78" i="9"/>
  <c r="E77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D61" i="9"/>
  <c r="D75" i="9" s="1"/>
  <c r="E75" i="9" s="1"/>
  <c r="E60" i="9"/>
  <c r="D58" i="9"/>
  <c r="E58" i="9" s="1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6" i="9"/>
  <c r="E15" i="9"/>
  <c r="E14" i="9"/>
  <c r="D80" i="9" l="1"/>
  <c r="E61" i="9"/>
  <c r="E80" i="9"/>
  <c r="E82" i="9" l="1"/>
  <c r="D84" i="9"/>
  <c r="C79" i="9"/>
  <c r="C75" i="9"/>
  <c r="C58" i="9"/>
  <c r="D85" i="9" l="1"/>
  <c r="E84" i="9"/>
  <c r="C80" i="9"/>
  <c r="C82" i="9" s="1"/>
  <c r="D88" i="9" l="1"/>
  <c r="E88" i="9" s="1"/>
  <c r="E85" i="9"/>
  <c r="C83" i="9"/>
  <c r="C84" i="9" l="1"/>
  <c r="C85" i="9" s="1"/>
  <c r="C88" i="9" l="1"/>
  <c r="C90" i="9" l="1"/>
  <c r="C96" i="9" s="1"/>
  <c r="E96" i="9" s="1"/>
</calcChain>
</file>

<file path=xl/sharedStrings.xml><?xml version="1.0" encoding="utf-8"?>
<sst xmlns="http://schemas.openxmlformats.org/spreadsheetml/2006/main" count="180" uniqueCount="174">
  <si>
    <t>RUBRICA</t>
  </si>
  <si>
    <t>DISCRIMINAÇÃO</t>
  </si>
  <si>
    <t xml:space="preserve">                   - TOTAL DA RUBRICA                                            </t>
  </si>
  <si>
    <t xml:space="preserve">                       - TOTAL DA RUBRICA</t>
  </si>
  <si>
    <t>TOTAL DESPESAS ESPECÍFICAS</t>
  </si>
  <si>
    <t>01.00</t>
  </si>
  <si>
    <t>01.01</t>
  </si>
  <si>
    <t>01.02</t>
  </si>
  <si>
    <t>02.00</t>
  </si>
  <si>
    <t>02.01</t>
  </si>
  <si>
    <t>02.02</t>
  </si>
  <si>
    <t>03.00</t>
  </si>
  <si>
    <t>03.01</t>
  </si>
  <si>
    <t>04.00</t>
  </si>
  <si>
    <t>04.01</t>
  </si>
  <si>
    <t>01.03</t>
  </si>
  <si>
    <t>01.04</t>
  </si>
  <si>
    <t xml:space="preserve">                   - TOTAL DA RUBRICA                               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</si>
  <si>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</si>
  <si>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</si>
  <si>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</si>
  <si>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</si>
  <si>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</si>
  <si>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</si>
  <si>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</si>
  <si>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</si>
  <si>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</si>
  <si>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</si>
  <si>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</si>
  <si>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</si>
  <si>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</si>
  <si>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</si>
  <si>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</si>
  <si>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</si>
  <si>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</si>
  <si>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</si>
  <si>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</si>
  <si>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</si>
  <si>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</si>
  <si>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</si>
  <si>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</si>
  <si>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</si>
  <si>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</si>
  <si>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Assessoria Contábil</t>
  </si>
  <si>
    <t>Assessoria  Jurídica</t>
  </si>
  <si>
    <t>Água (CAESB)</t>
  </si>
  <si>
    <t>Telefonia fixa (administração e portaria) + Internet</t>
  </si>
  <si>
    <t>DESPESAS COM PESSOAL</t>
  </si>
  <si>
    <t>02.03</t>
  </si>
  <si>
    <t>02.04</t>
  </si>
  <si>
    <t>02.05</t>
  </si>
  <si>
    <t>02.06</t>
  </si>
  <si>
    <t>02.07</t>
  </si>
  <si>
    <t>02.08</t>
  </si>
  <si>
    <t>02.09</t>
  </si>
  <si>
    <t>Vale Transporte</t>
  </si>
  <si>
    <t>Material de Escritório e Suprimentos de informática</t>
  </si>
  <si>
    <t>Energia Elétrica (CEB)</t>
  </si>
  <si>
    <t>Seguro de vida em Grupo</t>
  </si>
  <si>
    <t>PIS sobre Folha de Pagamento</t>
  </si>
  <si>
    <t>02.15</t>
  </si>
  <si>
    <t>Imposto de Renda - IRRF</t>
  </si>
  <si>
    <t>Mensalidade sindical/Taxa Assistencial</t>
  </si>
  <si>
    <t>Ajuda de Custo do Presidente</t>
  </si>
  <si>
    <t>DESPESAS FINANCEIRAS</t>
  </si>
  <si>
    <t>03.02</t>
  </si>
  <si>
    <t>DESPESAS ADMINISTRATIVAS E GERAIS</t>
  </si>
  <si>
    <t>01.30</t>
  </si>
  <si>
    <t>01.31</t>
  </si>
  <si>
    <t>01.32</t>
  </si>
  <si>
    <t>01.33</t>
  </si>
  <si>
    <t>01.34</t>
  </si>
  <si>
    <t>01.35</t>
  </si>
  <si>
    <t>01.36</t>
  </si>
  <si>
    <t>01.37</t>
  </si>
  <si>
    <t>01.38</t>
  </si>
  <si>
    <t>01.39</t>
  </si>
  <si>
    <t>VALOR MENSAL</t>
  </si>
  <si>
    <t>VALOR ANUAL</t>
  </si>
  <si>
    <t>Fundo de reserva (10%)</t>
  </si>
  <si>
    <t>Aquisição de Grelhas padrão NOVACAP</t>
  </si>
  <si>
    <t>Despesas com cobrança de Títulos</t>
  </si>
  <si>
    <t>Recolhimento de Lixo (Recicla Mais)</t>
  </si>
  <si>
    <t>Serviço de Manutenção Elétrico (Eletricista)</t>
  </si>
  <si>
    <t>Bastão eletrônico para controle de ronda</t>
  </si>
  <si>
    <t>Material Elétrico</t>
  </si>
  <si>
    <t>Manutenção Gerador</t>
  </si>
  <si>
    <t>Locação de 2 Ônibus (Fast Automotive)</t>
  </si>
  <si>
    <t>Solar de Brasília (Taxa condominial)</t>
  </si>
  <si>
    <t>Comunicação (Comarú)</t>
  </si>
  <si>
    <t>01.40</t>
  </si>
  <si>
    <t>01.41</t>
  </si>
  <si>
    <t>01.42</t>
  </si>
  <si>
    <t>Manutenção do relógio de ponto</t>
  </si>
  <si>
    <t>IBS - Manutenção do Site</t>
  </si>
  <si>
    <t>SERASA</t>
  </si>
  <si>
    <t>MCJB - Movimento Jardim Botânico</t>
  </si>
  <si>
    <t>Plano odontológico</t>
  </si>
  <si>
    <t>CIEE - Mensalidade</t>
  </si>
  <si>
    <t>SLU - Serviço de Limpeza (Descarte de poda)</t>
  </si>
  <si>
    <t>Tarifas (Conta + Folha de Pagamento)</t>
  </si>
  <si>
    <t>AMORVILLE</t>
  </si>
  <si>
    <t>Associação dos Moradores do Condomínio Ville de Montagne</t>
  </si>
  <si>
    <t>Material Hidráulico e Mão de obra de instalação</t>
  </si>
  <si>
    <t>Eventos (Festa Junina, dia das Crianças, Natal e confraternização)</t>
  </si>
  <si>
    <t>Móveis, Equipamentos e Serviços para Administração</t>
  </si>
  <si>
    <t>Despesas com Assembleias (Audio e Gravação) para 8 Assembleias</t>
  </si>
  <si>
    <t>Publicações e Anuncios (Previsão de 8 assembleias)</t>
  </si>
  <si>
    <t>Controle de Acesso (infraestrutura inicial e manutenção mensal)</t>
  </si>
  <si>
    <t>IPVA/Licenciamento/Seguro obrigatório (nove veículos)</t>
  </si>
  <si>
    <t>Manutenção de veículos (Peças e mão de Obra - Nove veículos)</t>
  </si>
  <si>
    <t>Material de uso e Consumo/Limpeza (Copa e Cozinha)</t>
  </si>
  <si>
    <t>Expediente</t>
  </si>
  <si>
    <t>Seguros (Prédio da Administração + Fiorino e Caminhão)</t>
  </si>
  <si>
    <t>IPTU/TLP (Unidade 16A Amorville e Unidade Solar de Brasília)</t>
  </si>
  <si>
    <t>Contratos</t>
  </si>
  <si>
    <t>Custas Processuais e despesas com cartório (Processos e Registros)</t>
  </si>
  <si>
    <t>Cofee Break (Previsão para 8 Assembleias)</t>
  </si>
  <si>
    <t>Social</t>
  </si>
  <si>
    <t>Financeiras</t>
  </si>
  <si>
    <t>Pessoal</t>
  </si>
  <si>
    <t>FUNDO DE RESERVA/INADIMPLÊNCIA</t>
  </si>
  <si>
    <t xml:space="preserve"> - SUBTOTAL DAS DESPESAS</t>
  </si>
  <si>
    <t>TOTAL DAS DESPESAS LÍQUIDAS</t>
  </si>
  <si>
    <t>04.02</t>
  </si>
  <si>
    <t>REAJUSTE DE</t>
  </si>
  <si>
    <t>TX e Impostos</t>
  </si>
  <si>
    <t>Conces..</t>
  </si>
  <si>
    <t>Manut.</t>
  </si>
  <si>
    <t>Mensal.</t>
  </si>
  <si>
    <t>Combustíveis (Gasolina e Diesel - Nove veículos)</t>
  </si>
  <si>
    <t>Aquisição/Manutenção de Máquinas e Equipamentos</t>
  </si>
  <si>
    <t>Manutenção viária</t>
  </si>
  <si>
    <t>Conservação, Reparos, Ferramentas, Jardins</t>
  </si>
  <si>
    <t>Correios, Telégrafos, Serviços Gráficos</t>
  </si>
  <si>
    <t>EPI + Uniforme + Calçados para os Funcionários</t>
  </si>
  <si>
    <t>01.43</t>
  </si>
  <si>
    <t>Suporte de T.I.</t>
  </si>
  <si>
    <t>VALOR MENSAL ORÇAMENTO ANTERIOR</t>
  </si>
  <si>
    <t>Salários Líquidos Mensais</t>
  </si>
  <si>
    <t>13º Salário 1/12 Avos</t>
  </si>
  <si>
    <t>Vale Alimentação</t>
  </si>
  <si>
    <t>Férias (1/3 de férias + Aux. Cesta básica)</t>
  </si>
  <si>
    <t>TAXA ANTERIOR COM DESCONTO  (1045 PAGANTES)</t>
  </si>
  <si>
    <t>TAXA ANTERIOR SEM DESCONTO (1045 PAGANTES)</t>
  </si>
  <si>
    <t>01.44</t>
  </si>
  <si>
    <t>PROPOSTA DE TAXA COM DESCONTO (1045 PAGANTES)</t>
  </si>
  <si>
    <t>PROPOSTA DE TAXA SEM DESCONTO (1045 PAGANTES)</t>
  </si>
  <si>
    <t>FGTS Mensal - (sob folha)</t>
  </si>
  <si>
    <t>INSS Mensal - (Patronal e empregado)</t>
  </si>
  <si>
    <t>Superlógica - Assessoria</t>
  </si>
  <si>
    <t>RECEITA CONTA - ACORDO - MÉDIA dos ultimos 12 meses</t>
  </si>
  <si>
    <t>VALOR CORRIGIDO</t>
  </si>
  <si>
    <t>SALDO REMANESCENTE</t>
  </si>
  <si>
    <t>Ações, feiras, eventos, e aquisições em prol do meio ambiente</t>
  </si>
  <si>
    <t>Previsão de inadimplência</t>
  </si>
  <si>
    <t>ORÇAMENTO ANUAL - SETEMBRO DE 2022 A AGOSTO DE 2023</t>
  </si>
  <si>
    <t>Período</t>
  </si>
  <si>
    <t>Salário Bruto</t>
  </si>
  <si>
    <t>Salário Líquido</t>
  </si>
  <si>
    <t>INSS</t>
  </si>
  <si>
    <t>PIS</t>
  </si>
  <si>
    <t>IRRF</t>
  </si>
  <si>
    <t>FGTS</t>
  </si>
  <si>
    <t>MÉDIA - ACORDO</t>
  </si>
  <si>
    <t>INADIMPLÊNCIA</t>
  </si>
  <si>
    <t>Assistência, serviços médicos, exames periódicos, homologações</t>
  </si>
  <si>
    <t>Aquisição de lixeiras Padrão SLU</t>
  </si>
  <si>
    <t>02.10</t>
  </si>
  <si>
    <t>02.11</t>
  </si>
  <si>
    <t>02.12</t>
  </si>
  <si>
    <t>02.13</t>
  </si>
  <si>
    <t>02.14</t>
  </si>
  <si>
    <t>Materiais de manutenção diversos (cimento, areia e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</si>
</sst>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2" xfId="1" applyFont="1" applyBorder="1" applyAlignment="1">
      <alignment horizontal="center" vertical="center" wrapText="1"/>
    </xf>
    <xf numFmtId="44" fontId="3" fillId="0" borderId="12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2" fillId="0" borderId="14" xfId="0" applyNumberFormat="1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3" borderId="14" xfId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44" fontId="2" fillId="0" borderId="14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2" fillId="0" borderId="0" xfId="0" applyNumberFormat="1" applyFont="1"/>
    <xf numFmtId="44" fontId="2" fillId="6" borderId="1" xfId="0" applyNumberFormat="1" applyFont="1" applyFill="1" applyBorder="1" applyAlignment="1">
      <alignment horizontal="center" vertical="center" wrapText="1"/>
    </xf>
    <xf numFmtId="44" fontId="4" fillId="4" borderId="20" xfId="0" applyNumberFormat="1" applyFont="1" applyFill="1" applyBorder="1" applyAlignment="1">
      <alignment horizontal="center"/>
    </xf>
    <xf numFmtId="10" fontId="4" fillId="4" borderId="20" xfId="2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44" fontId="3" fillId="3" borderId="12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4" fontId="2" fillId="5" borderId="9" xfId="0" applyNumberFormat="1" applyFont="1" applyFill="1" applyBorder="1" applyAlignment="1">
      <alignment horizontal="center" vertical="center" wrapText="1"/>
    </xf>
    <xf numFmtId="44" fontId="2" fillId="6" borderId="14" xfId="0" applyNumberFormat="1" applyFont="1" applyFill="1" applyBorder="1" applyAlignment="1">
      <alignment horizontal="center" vertical="center" wrapText="1"/>
    </xf>
    <xf numFmtId="44" fontId="4" fillId="3" borderId="0" xfId="0" applyNumberFormat="1" applyFont="1" applyFill="1" applyAlignment="1">
      <alignment horizontal="center"/>
    </xf>
    <xf numFmtId="44" fontId="2" fillId="3" borderId="14" xfId="0" applyNumberFormat="1" applyFont="1" applyFill="1" applyBorder="1" applyAlignment="1">
      <alignment horizontal="center" vertical="center" wrapText="1"/>
    </xf>
    <xf numFmtId="44" fontId="2" fillId="6" borderId="6" xfId="0" applyNumberFormat="1" applyFont="1" applyFill="1" applyBorder="1" applyAlignment="1">
      <alignment horizontal="center" vertical="center" wrapText="1"/>
    </xf>
    <xf numFmtId="44" fontId="2" fillId="6" borderId="7" xfId="0" applyNumberFormat="1" applyFont="1" applyFill="1" applyBorder="1"/>
    <xf numFmtId="44" fontId="2" fillId="6" borderId="24" xfId="0" applyNumberFormat="1" applyFont="1" applyFill="1" applyBorder="1"/>
    <xf numFmtId="44" fontId="2" fillId="5" borderId="10" xfId="0" applyNumberFormat="1" applyFont="1" applyFill="1" applyBorder="1"/>
    <xf numFmtId="0" fontId="3" fillId="3" borderId="12" xfId="0" applyFont="1" applyFill="1" applyBorder="1" applyAlignment="1">
      <alignment horizontal="center" vertical="center" wrapText="1"/>
    </xf>
    <xf numFmtId="44" fontId="3" fillId="3" borderId="12" xfId="0" applyNumberFormat="1" applyFont="1" applyFill="1" applyBorder="1"/>
    <xf numFmtId="0" fontId="3" fillId="3" borderId="14" xfId="0" applyFont="1" applyFill="1" applyBorder="1" applyAlignment="1">
      <alignment horizontal="left" vertical="center" wrapText="1"/>
    </xf>
    <xf numFmtId="44" fontId="3" fillId="3" borderId="14" xfId="1" applyFont="1" applyFill="1" applyBorder="1" applyAlignment="1">
      <alignment horizontal="center" vertical="center" wrapText="1"/>
    </xf>
    <xf numFmtId="44" fontId="2" fillId="3" borderId="14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44" fontId="3" fillId="3" borderId="1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/>
    <xf numFmtId="44" fontId="0" fillId="0" borderId="0" xfId="1" applyFont="1"/>
    <xf numFmtId="17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0" applyNumberFormat="1"/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44" fontId="4" fillId="4" borderId="16" xfId="0" applyNumberFormat="1" applyFont="1" applyFill="1" applyBorder="1" applyAlignment="1">
      <alignment horizontal="center"/>
    </xf>
    <xf numFmtId="44" fontId="4" fillId="4" borderId="18" xfId="0" applyNumberFormat="1" applyFont="1" applyFill="1" applyBorder="1" applyAlignment="1">
      <alignment horizontal="center"/>
    </xf>
    <xf numFmtId="44" fontId="4" fillId="4" borderId="17" xfId="0" applyNumberFormat="1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44" fontId="4" fillId="4" borderId="16" xfId="1" applyFont="1" applyFill="1" applyBorder="1" applyAlignment="1">
      <alignment horizontal="center"/>
    </xf>
    <xf numFmtId="44" fontId="4" fillId="4" borderId="18" xfId="1" applyFont="1" applyFill="1" applyBorder="1" applyAlignment="1">
      <alignment horizontal="center"/>
    </xf>
    <xf numFmtId="44" fontId="4" fillId="4" borderId="17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2228850</xdr:colOff>
          <xdr:row>0</xdr:row>
          <xdr:rowOff>0</xdr:rowOff>
        </xdr:from>
        <xdr:to>
          <xdr:col>1</xdr:col>
          <xdr:colOff>2895600</xdr:colOff>
          <xdr:row>6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topLeftCell="A2" zoomScale="115" zoomScaleNormal="115" workbookViewId="0">
      <selection activeCell="G86" sqref="G86"/>
    </sheetView>
  </sheetViews>
  <sheetFormatPr defaultRowHeight="15" x14ac:dyDescent="0.25"/>
  <cols>
    <col min="1" max="1" width="6.28515625" customWidth="1"/>
    <col min="2" max="2" width="46.85546875" customWidth="1"/>
    <col min="3" max="4" width="11.7109375" style="1" customWidth="1"/>
    <col min="5" max="5" width="11.7109375" customWidth="1"/>
    <col min="6" max="6" width="10.140625" style="1" customWidth="1"/>
    <col min="7" max="7" width="13.85546875" customWidth="1"/>
    <col min="9" max="9" width="16" customWidth="1"/>
  </cols>
  <sheetData>
    <row r="1" spans="1:6" ht="9" hidden="1" customHeight="1" x14ac:dyDescent="0.25"/>
    <row r="2" spans="1:6" ht="9" customHeight="1" x14ac:dyDescent="0.25"/>
    <row r="3" spans="1:6" ht="9" customHeight="1" x14ac:dyDescent="0.25"/>
    <row r="4" spans="1:6" ht="9" customHeight="1" x14ac:dyDescent="0.25"/>
    <row r="5" spans="1:6" ht="9" customHeight="1" x14ac:dyDescent="0.25"/>
    <row r="6" spans="1:6" ht="9" customHeight="1" x14ac:dyDescent="0.25"/>
    <row r="7" spans="1:6" ht="9" customHeight="1" x14ac:dyDescent="0.25"/>
    <row r="8" spans="1:6" ht="15" customHeight="1" x14ac:dyDescent="0.25">
      <c r="A8" s="93" t="s">
        <v>101</v>
      </c>
      <c r="B8" s="93"/>
      <c r="C8" s="93"/>
      <c r="D8" s="93"/>
      <c r="E8" s="93"/>
    </row>
    <row r="9" spans="1:6" ht="18" customHeight="1" x14ac:dyDescent="0.25">
      <c r="A9" s="94" t="s">
        <v>102</v>
      </c>
      <c r="B9" s="94"/>
      <c r="C9" s="94"/>
      <c r="D9" s="94"/>
      <c r="E9" s="94"/>
    </row>
    <row r="10" spans="1:6" ht="17.25" customHeight="1" x14ac:dyDescent="0.25">
      <c r="A10" s="95" t="s">
        <v>156</v>
      </c>
      <c r="B10" s="95"/>
      <c r="C10" s="95"/>
      <c r="D10" s="95"/>
      <c r="E10" s="95"/>
    </row>
    <row r="11" spans="1:6" ht="10.5" customHeight="1" thickBot="1" x14ac:dyDescent="0.3">
      <c r="A11" s="10"/>
      <c r="B11" s="10"/>
      <c r="C11" s="10"/>
      <c r="D11" s="10"/>
    </row>
    <row r="12" spans="1:6" ht="24.75" customHeight="1" x14ac:dyDescent="0.25">
      <c r="A12" s="6" t="s">
        <v>0</v>
      </c>
      <c r="B12" s="7" t="s">
        <v>1</v>
      </c>
      <c r="C12" s="96" t="s">
        <v>138</v>
      </c>
      <c r="D12" s="91" t="s">
        <v>152</v>
      </c>
      <c r="E12" s="91" t="s">
        <v>78</v>
      </c>
    </row>
    <row r="13" spans="1:6" ht="11.25" customHeight="1" thickBot="1" x14ac:dyDescent="0.3">
      <c r="A13" s="15" t="s">
        <v>5</v>
      </c>
      <c r="B13" s="16" t="s">
        <v>66</v>
      </c>
      <c r="C13" s="97"/>
      <c r="D13" s="92"/>
      <c r="E13" s="92"/>
    </row>
    <row r="14" spans="1:6" ht="13.5" customHeight="1" x14ac:dyDescent="0.25">
      <c r="A14" s="21" t="s">
        <v>6</v>
      </c>
      <c r="B14" s="12" t="s">
        <v>87</v>
      </c>
      <c r="C14" s="39">
        <v>29006.06</v>
      </c>
      <c r="D14" s="14">
        <v>32000</v>
      </c>
      <c r="E14" s="14">
        <f>D14*12</f>
        <v>384000</v>
      </c>
      <c r="F14" s="88" t="s">
        <v>115</v>
      </c>
    </row>
    <row r="15" spans="1:6" ht="13.5" customHeight="1" x14ac:dyDescent="0.25">
      <c r="A15" s="49" t="s">
        <v>7</v>
      </c>
      <c r="B15" s="28" t="s">
        <v>82</v>
      </c>
      <c r="C15" s="29">
        <v>27996.7</v>
      </c>
      <c r="D15" s="50">
        <v>17900</v>
      </c>
      <c r="E15" s="50">
        <f t="shared" ref="E15:E24" si="0">D15*12</f>
        <v>214800</v>
      </c>
      <c r="F15" s="89"/>
    </row>
    <row r="16" spans="1:6" ht="13.5" customHeight="1" x14ac:dyDescent="0.25">
      <c r="A16" s="49" t="s">
        <v>15</v>
      </c>
      <c r="B16" s="28" t="s">
        <v>108</v>
      </c>
      <c r="C16" s="29">
        <v>19340</v>
      </c>
      <c r="D16" s="50">
        <v>20530</v>
      </c>
      <c r="E16" s="50">
        <f t="shared" si="0"/>
        <v>246360</v>
      </c>
      <c r="F16" s="89"/>
    </row>
    <row r="17" spans="1:7" ht="13.5" customHeight="1" x14ac:dyDescent="0.25">
      <c r="A17" s="49" t="s">
        <v>16</v>
      </c>
      <c r="B17" s="28" t="s">
        <v>44</v>
      </c>
      <c r="C17" s="29">
        <v>7579.63</v>
      </c>
      <c r="D17" s="50">
        <v>5328</v>
      </c>
      <c r="E17" s="50">
        <f>D17*12</f>
        <v>63936</v>
      </c>
      <c r="F17" s="89"/>
      <c r="G17" s="2"/>
    </row>
    <row r="18" spans="1:7" ht="13.5" customHeight="1" x14ac:dyDescent="0.25">
      <c r="A18" s="49" t="s">
        <v>18</v>
      </c>
      <c r="B18" s="28" t="s">
        <v>43</v>
      </c>
      <c r="C18" s="29">
        <v>4420</v>
      </c>
      <c r="D18" s="50">
        <v>4420</v>
      </c>
      <c r="E18" s="50">
        <f t="shared" si="0"/>
        <v>53040</v>
      </c>
      <c r="F18" s="89"/>
    </row>
    <row r="19" spans="1:7" ht="13.5" customHeight="1" x14ac:dyDescent="0.25">
      <c r="A19" s="49" t="s">
        <v>19</v>
      </c>
      <c r="B19" s="28" t="s">
        <v>83</v>
      </c>
      <c r="C19" s="29">
        <v>2306.67</v>
      </c>
      <c r="D19" s="50">
        <v>1345</v>
      </c>
      <c r="E19" s="50">
        <f t="shared" si="0"/>
        <v>16140</v>
      </c>
      <c r="F19" s="89"/>
    </row>
    <row r="20" spans="1:7" ht="13.5" customHeight="1" x14ac:dyDescent="0.25">
      <c r="A20" s="49" t="s">
        <v>20</v>
      </c>
      <c r="B20" s="28" t="s">
        <v>86</v>
      </c>
      <c r="C20" s="29">
        <v>500</v>
      </c>
      <c r="D20" s="50">
        <v>556.87</v>
      </c>
      <c r="E20" s="50">
        <f t="shared" si="0"/>
        <v>6682.4400000000005</v>
      </c>
      <c r="F20" s="89"/>
    </row>
    <row r="21" spans="1:7" ht="13.5" customHeight="1" x14ac:dyDescent="0.25">
      <c r="A21" s="49" t="s">
        <v>21</v>
      </c>
      <c r="B21" s="28" t="s">
        <v>150</v>
      </c>
      <c r="C21" s="29">
        <v>829.63</v>
      </c>
      <c r="D21" s="50">
        <v>905</v>
      </c>
      <c r="E21" s="50">
        <f t="shared" si="0"/>
        <v>10860</v>
      </c>
      <c r="F21" s="89"/>
    </row>
    <row r="22" spans="1:7" ht="13.5" customHeight="1" x14ac:dyDescent="0.25">
      <c r="A22" s="49" t="s">
        <v>22</v>
      </c>
      <c r="B22" s="28" t="s">
        <v>89</v>
      </c>
      <c r="C22" s="29">
        <v>3000</v>
      </c>
      <c r="D22" s="50">
        <v>3300</v>
      </c>
      <c r="E22" s="50">
        <f t="shared" si="0"/>
        <v>39600</v>
      </c>
      <c r="F22" s="89"/>
    </row>
    <row r="23" spans="1:7" ht="13.5" customHeight="1" x14ac:dyDescent="0.25">
      <c r="A23" s="49" t="s">
        <v>23</v>
      </c>
      <c r="B23" s="28" t="s">
        <v>94</v>
      </c>
      <c r="C23" s="29">
        <v>590.04</v>
      </c>
      <c r="D23" s="50">
        <v>450</v>
      </c>
      <c r="E23" s="50">
        <f t="shared" si="0"/>
        <v>5400</v>
      </c>
      <c r="F23" s="89"/>
    </row>
    <row r="24" spans="1:7" ht="13.5" customHeight="1" x14ac:dyDescent="0.25">
      <c r="A24" s="49" t="s">
        <v>24</v>
      </c>
      <c r="B24" s="28" t="s">
        <v>137</v>
      </c>
      <c r="C24" s="29"/>
      <c r="D24" s="50">
        <v>1000</v>
      </c>
      <c r="E24" s="50">
        <f t="shared" si="0"/>
        <v>12000</v>
      </c>
      <c r="F24" s="89"/>
    </row>
    <row r="25" spans="1:7" ht="13.5" customHeight="1" x14ac:dyDescent="0.25">
      <c r="A25" s="49" t="s">
        <v>25</v>
      </c>
      <c r="B25" s="28" t="s">
        <v>154</v>
      </c>
      <c r="C25" s="29"/>
      <c r="D25" s="50">
        <v>1250</v>
      </c>
      <c r="E25" s="50">
        <f>D25*12</f>
        <v>15000</v>
      </c>
      <c r="F25" s="40"/>
    </row>
    <row r="26" spans="1:7" ht="13.5" customHeight="1" x14ac:dyDescent="0.25">
      <c r="A26" s="49" t="s">
        <v>26</v>
      </c>
      <c r="B26" s="28" t="s">
        <v>57</v>
      </c>
      <c r="C26" s="29">
        <v>35000</v>
      </c>
      <c r="D26" s="50">
        <v>20000</v>
      </c>
      <c r="E26" s="50">
        <f t="shared" ref="E26:E57" si="1">D26*12</f>
        <v>240000</v>
      </c>
      <c r="F26" s="77" t="s">
        <v>127</v>
      </c>
    </row>
    <row r="27" spans="1:7" ht="13.5" customHeight="1" x14ac:dyDescent="0.25">
      <c r="A27" s="49" t="s">
        <v>27</v>
      </c>
      <c r="B27" s="28" t="s">
        <v>45</v>
      </c>
      <c r="C27" s="29">
        <v>1900</v>
      </c>
      <c r="D27" s="50">
        <v>1900</v>
      </c>
      <c r="E27" s="50">
        <f t="shared" si="1"/>
        <v>22800</v>
      </c>
      <c r="F27" s="77"/>
    </row>
    <row r="28" spans="1:7" ht="13.5" customHeight="1" x14ac:dyDescent="0.25">
      <c r="A28" s="49" t="s">
        <v>28</v>
      </c>
      <c r="B28" s="28" t="s">
        <v>46</v>
      </c>
      <c r="C28" s="29">
        <v>1400</v>
      </c>
      <c r="D28" s="50">
        <v>800</v>
      </c>
      <c r="E28" s="50">
        <f t="shared" si="1"/>
        <v>9600</v>
      </c>
      <c r="F28" s="77"/>
    </row>
    <row r="29" spans="1:7" ht="13.5" customHeight="1" x14ac:dyDescent="0.25">
      <c r="A29" s="49" t="s">
        <v>29</v>
      </c>
      <c r="B29" s="28" t="s">
        <v>110</v>
      </c>
      <c r="C29" s="29">
        <v>6400</v>
      </c>
      <c r="D29" s="50">
        <v>6400</v>
      </c>
      <c r="E29" s="50">
        <f t="shared" si="1"/>
        <v>76800</v>
      </c>
      <c r="F29" s="77" t="s">
        <v>128</v>
      </c>
    </row>
    <row r="30" spans="1:7" ht="13.5" customHeight="1" x14ac:dyDescent="0.25">
      <c r="A30" s="49" t="s">
        <v>30</v>
      </c>
      <c r="B30" s="28" t="s">
        <v>130</v>
      </c>
      <c r="C30" s="29">
        <v>6300</v>
      </c>
      <c r="D30" s="50">
        <v>6300</v>
      </c>
      <c r="E30" s="50">
        <f t="shared" si="1"/>
        <v>75600</v>
      </c>
      <c r="F30" s="77"/>
    </row>
    <row r="31" spans="1:7" ht="13.5" customHeight="1" x14ac:dyDescent="0.25">
      <c r="A31" s="49" t="s">
        <v>31</v>
      </c>
      <c r="B31" s="28" t="s">
        <v>131</v>
      </c>
      <c r="C31" s="29">
        <v>800</v>
      </c>
      <c r="D31" s="50">
        <v>900</v>
      </c>
      <c r="E31" s="50">
        <f t="shared" si="1"/>
        <v>10800</v>
      </c>
      <c r="F31" s="77"/>
    </row>
    <row r="32" spans="1:7" ht="13.5" customHeight="1" x14ac:dyDescent="0.25">
      <c r="A32" s="49" t="s">
        <v>32</v>
      </c>
      <c r="B32" s="28" t="s">
        <v>133</v>
      </c>
      <c r="C32" s="29">
        <v>11500</v>
      </c>
      <c r="D32" s="50">
        <v>10000</v>
      </c>
      <c r="E32" s="50">
        <f t="shared" si="1"/>
        <v>120000</v>
      </c>
      <c r="F32" s="77"/>
    </row>
    <row r="33" spans="1:6" ht="13.5" customHeight="1" x14ac:dyDescent="0.25">
      <c r="A33" s="49" t="s">
        <v>33</v>
      </c>
      <c r="B33" s="28" t="s">
        <v>85</v>
      </c>
      <c r="C33" s="29">
        <v>3300</v>
      </c>
      <c r="D33" s="50">
        <v>2000</v>
      </c>
      <c r="E33" s="50">
        <f t="shared" si="1"/>
        <v>24000</v>
      </c>
      <c r="F33" s="77"/>
    </row>
    <row r="34" spans="1:6" ht="13.5" customHeight="1" x14ac:dyDescent="0.25">
      <c r="A34" s="49" t="s">
        <v>34</v>
      </c>
      <c r="B34" s="28" t="s">
        <v>103</v>
      </c>
      <c r="C34" s="29">
        <v>350</v>
      </c>
      <c r="D34" s="50">
        <v>250</v>
      </c>
      <c r="E34" s="50">
        <f t="shared" si="1"/>
        <v>3000</v>
      </c>
      <c r="F34" s="77"/>
    </row>
    <row r="35" spans="1:6" ht="13.5" customHeight="1" x14ac:dyDescent="0.25">
      <c r="A35" s="49" t="s">
        <v>35</v>
      </c>
      <c r="B35" s="28" t="s">
        <v>111</v>
      </c>
      <c r="C35" s="29">
        <v>4800</v>
      </c>
      <c r="D35" s="50">
        <v>2000</v>
      </c>
      <c r="E35" s="50">
        <f t="shared" si="1"/>
        <v>24000</v>
      </c>
      <c r="F35" s="77"/>
    </row>
    <row r="36" spans="1:6" ht="13.5" customHeight="1" x14ac:dyDescent="0.25">
      <c r="A36" s="49" t="s">
        <v>36</v>
      </c>
      <c r="B36" s="28" t="s">
        <v>132</v>
      </c>
      <c r="C36" s="29">
        <v>9166.6666000000005</v>
      </c>
      <c r="D36" s="50">
        <v>14000</v>
      </c>
      <c r="E36" s="50">
        <f t="shared" si="1"/>
        <v>168000</v>
      </c>
      <c r="F36" s="77"/>
    </row>
    <row r="37" spans="1:6" ht="13.5" customHeight="1" x14ac:dyDescent="0.25">
      <c r="A37" s="49" t="s">
        <v>37</v>
      </c>
      <c r="B37" s="28" t="s">
        <v>93</v>
      </c>
      <c r="C37" s="29">
        <v>65</v>
      </c>
      <c r="D37" s="50">
        <v>75</v>
      </c>
      <c r="E37" s="50">
        <f t="shared" si="1"/>
        <v>900</v>
      </c>
      <c r="F37" s="77"/>
    </row>
    <row r="38" spans="1:6" ht="13.5" customHeight="1" x14ac:dyDescent="0.25">
      <c r="A38" s="49" t="s">
        <v>38</v>
      </c>
      <c r="B38" s="28" t="s">
        <v>167</v>
      </c>
      <c r="C38" s="29">
        <v>452.25</v>
      </c>
      <c r="D38" s="50">
        <v>150</v>
      </c>
      <c r="E38" s="50">
        <f t="shared" si="1"/>
        <v>1800</v>
      </c>
      <c r="F38" s="77"/>
    </row>
    <row r="39" spans="1:6" ht="13.5" customHeight="1" x14ac:dyDescent="0.25">
      <c r="A39" s="49" t="s">
        <v>39</v>
      </c>
      <c r="B39" s="28" t="s">
        <v>80</v>
      </c>
      <c r="C39" s="29">
        <v>800</v>
      </c>
      <c r="D39" s="50">
        <v>1100</v>
      </c>
      <c r="E39" s="50">
        <f t="shared" si="1"/>
        <v>13200</v>
      </c>
      <c r="F39" s="77"/>
    </row>
    <row r="40" spans="1:6" ht="13.5" customHeight="1" x14ac:dyDescent="0.25">
      <c r="A40" s="49" t="s">
        <v>40</v>
      </c>
      <c r="B40" s="28" t="s">
        <v>173</v>
      </c>
      <c r="C40" s="29">
        <v>2800</v>
      </c>
      <c r="D40" s="50">
        <v>3300</v>
      </c>
      <c r="E40" s="50">
        <f t="shared" si="1"/>
        <v>39600</v>
      </c>
      <c r="F40" s="77"/>
    </row>
    <row r="41" spans="1:6" ht="13.5" customHeight="1" x14ac:dyDescent="0.25">
      <c r="A41" s="49" t="s">
        <v>41</v>
      </c>
      <c r="B41" s="51" t="s">
        <v>105</v>
      </c>
      <c r="C41" s="52">
        <v>1300</v>
      </c>
      <c r="D41" s="50">
        <v>2085</v>
      </c>
      <c r="E41" s="50">
        <f t="shared" si="1"/>
        <v>25020</v>
      </c>
      <c r="F41" s="77"/>
    </row>
    <row r="42" spans="1:6" ht="13.5" customHeight="1" x14ac:dyDescent="0.25">
      <c r="A42" s="49" t="s">
        <v>42</v>
      </c>
      <c r="B42" s="28" t="s">
        <v>84</v>
      </c>
      <c r="C42" s="29">
        <v>600</v>
      </c>
      <c r="D42" s="50">
        <v>660</v>
      </c>
      <c r="E42" s="50">
        <f t="shared" si="1"/>
        <v>7920</v>
      </c>
      <c r="F42" s="77"/>
    </row>
    <row r="43" spans="1:6" ht="13.5" customHeight="1" x14ac:dyDescent="0.25">
      <c r="A43" s="49" t="s">
        <v>67</v>
      </c>
      <c r="B43" s="28" t="s">
        <v>95</v>
      </c>
      <c r="C43" s="29">
        <v>45</v>
      </c>
      <c r="D43" s="50">
        <v>50</v>
      </c>
      <c r="E43" s="50">
        <f t="shared" si="1"/>
        <v>600</v>
      </c>
      <c r="F43" s="77" t="s">
        <v>129</v>
      </c>
    </row>
    <row r="44" spans="1:6" ht="13.5" customHeight="1" x14ac:dyDescent="0.25">
      <c r="A44" s="49" t="s">
        <v>68</v>
      </c>
      <c r="B44" s="28" t="s">
        <v>96</v>
      </c>
      <c r="C44" s="29">
        <v>760</v>
      </c>
      <c r="D44" s="50">
        <v>760</v>
      </c>
      <c r="E44" s="50">
        <f t="shared" si="1"/>
        <v>9120</v>
      </c>
      <c r="F44" s="77"/>
    </row>
    <row r="45" spans="1:6" ht="13.5" customHeight="1" x14ac:dyDescent="0.25">
      <c r="A45" s="49" t="s">
        <v>69</v>
      </c>
      <c r="B45" s="28" t="s">
        <v>98</v>
      </c>
      <c r="C45" s="29">
        <v>1280</v>
      </c>
      <c r="D45" s="50">
        <v>1500</v>
      </c>
      <c r="E45" s="50">
        <f t="shared" si="1"/>
        <v>18000</v>
      </c>
      <c r="F45" s="77"/>
    </row>
    <row r="46" spans="1:6" ht="13.5" customHeight="1" x14ac:dyDescent="0.25">
      <c r="A46" s="49" t="s">
        <v>70</v>
      </c>
      <c r="B46" s="28" t="s">
        <v>134</v>
      </c>
      <c r="C46" s="29">
        <v>250</v>
      </c>
      <c r="D46" s="50">
        <v>300</v>
      </c>
      <c r="E46" s="50">
        <f t="shared" si="1"/>
        <v>3600</v>
      </c>
      <c r="F46" s="77" t="s">
        <v>112</v>
      </c>
    </row>
    <row r="47" spans="1:6" ht="13.5" customHeight="1" x14ac:dyDescent="0.25">
      <c r="A47" s="49" t="s">
        <v>71</v>
      </c>
      <c r="B47" s="28" t="s">
        <v>116</v>
      </c>
      <c r="C47" s="29">
        <v>1333.3333</v>
      </c>
      <c r="D47" s="50">
        <v>1350</v>
      </c>
      <c r="E47" s="50">
        <f t="shared" si="1"/>
        <v>16200</v>
      </c>
      <c r="F47" s="77"/>
    </row>
    <row r="48" spans="1:6" ht="13.5" customHeight="1" x14ac:dyDescent="0.25">
      <c r="A48" s="49" t="s">
        <v>72</v>
      </c>
      <c r="B48" s="28" t="s">
        <v>56</v>
      </c>
      <c r="C48" s="29">
        <v>2700</v>
      </c>
      <c r="D48" s="50">
        <v>2700</v>
      </c>
      <c r="E48" s="50">
        <f t="shared" si="1"/>
        <v>32400</v>
      </c>
      <c r="F48" s="77"/>
    </row>
    <row r="49" spans="1:6" ht="13.5" customHeight="1" x14ac:dyDescent="0.25">
      <c r="A49" s="49" t="s">
        <v>73</v>
      </c>
      <c r="B49" s="28" t="s">
        <v>106</v>
      </c>
      <c r="C49" s="29">
        <v>533.33333000000005</v>
      </c>
      <c r="D49" s="50">
        <v>600</v>
      </c>
      <c r="E49" s="50">
        <f t="shared" si="1"/>
        <v>7200</v>
      </c>
      <c r="F49" s="77"/>
    </row>
    <row r="50" spans="1:6" ht="13.5" customHeight="1" x14ac:dyDescent="0.25">
      <c r="A50" s="49" t="s">
        <v>74</v>
      </c>
      <c r="B50" s="28" t="s">
        <v>107</v>
      </c>
      <c r="C50" s="29">
        <v>933.33333000000005</v>
      </c>
      <c r="D50" s="50">
        <v>1000</v>
      </c>
      <c r="E50" s="50">
        <f t="shared" si="1"/>
        <v>12000</v>
      </c>
      <c r="F50" s="77"/>
    </row>
    <row r="51" spans="1:6" ht="13.5" customHeight="1" x14ac:dyDescent="0.25">
      <c r="A51" s="49" t="s">
        <v>75</v>
      </c>
      <c r="B51" s="28" t="s">
        <v>117</v>
      </c>
      <c r="C51" s="29">
        <v>367</v>
      </c>
      <c r="D51" s="50">
        <v>407</v>
      </c>
      <c r="E51" s="50">
        <f t="shared" si="1"/>
        <v>4884</v>
      </c>
      <c r="F51" s="77"/>
    </row>
    <row r="52" spans="1:6" ht="13.5" customHeight="1" x14ac:dyDescent="0.25">
      <c r="A52" s="49" t="s">
        <v>76</v>
      </c>
      <c r="B52" s="28" t="s">
        <v>113</v>
      </c>
      <c r="C52" s="29">
        <v>1000</v>
      </c>
      <c r="D52" s="50">
        <v>1000</v>
      </c>
      <c r="E52" s="50">
        <f t="shared" si="1"/>
        <v>12000</v>
      </c>
      <c r="F52" s="77" t="s">
        <v>126</v>
      </c>
    </row>
    <row r="53" spans="1:6" ht="13.5" customHeight="1" x14ac:dyDescent="0.25">
      <c r="A53" s="49" t="s">
        <v>90</v>
      </c>
      <c r="B53" s="28" t="s">
        <v>88</v>
      </c>
      <c r="C53" s="29">
        <v>680</v>
      </c>
      <c r="D53" s="50">
        <v>680</v>
      </c>
      <c r="E53" s="50">
        <f t="shared" si="1"/>
        <v>8160</v>
      </c>
      <c r="F53" s="77"/>
    </row>
    <row r="54" spans="1:6" ht="13.5" customHeight="1" x14ac:dyDescent="0.25">
      <c r="A54" s="49" t="s">
        <v>91</v>
      </c>
      <c r="B54" s="28" t="s">
        <v>99</v>
      </c>
      <c r="C54" s="29">
        <v>800</v>
      </c>
      <c r="D54" s="50">
        <v>800</v>
      </c>
      <c r="E54" s="50">
        <f t="shared" si="1"/>
        <v>9600</v>
      </c>
      <c r="F54" s="77"/>
    </row>
    <row r="55" spans="1:6" ht="13.5" customHeight="1" x14ac:dyDescent="0.25">
      <c r="A55" s="49" t="s">
        <v>92</v>
      </c>
      <c r="B55" s="28" t="s">
        <v>114</v>
      </c>
      <c r="C55" s="29">
        <v>590</v>
      </c>
      <c r="D55" s="50">
        <v>1000</v>
      </c>
      <c r="E55" s="50">
        <f t="shared" si="1"/>
        <v>12000</v>
      </c>
      <c r="F55" s="77"/>
    </row>
    <row r="56" spans="1:6" ht="13.5" customHeight="1" x14ac:dyDescent="0.25">
      <c r="A56" s="49" t="s">
        <v>136</v>
      </c>
      <c r="B56" s="28" t="s">
        <v>109</v>
      </c>
      <c r="C56" s="29">
        <v>850</v>
      </c>
      <c r="D56" s="50">
        <v>500</v>
      </c>
      <c r="E56" s="50">
        <f t="shared" si="1"/>
        <v>6000</v>
      </c>
      <c r="F56" s="77"/>
    </row>
    <row r="57" spans="1:6" ht="13.5" customHeight="1" x14ac:dyDescent="0.25">
      <c r="A57" s="49" t="s">
        <v>145</v>
      </c>
      <c r="B57" s="28" t="s">
        <v>104</v>
      </c>
      <c r="C57" s="29">
        <v>2083.3332999999998</v>
      </c>
      <c r="D57" s="50">
        <v>5000</v>
      </c>
      <c r="E57" s="50">
        <f t="shared" si="1"/>
        <v>60000</v>
      </c>
      <c r="F57" s="31" t="s">
        <v>118</v>
      </c>
    </row>
    <row r="58" spans="1:6" ht="13.5" customHeight="1" thickBot="1" x14ac:dyDescent="0.3">
      <c r="A58" s="80" t="s">
        <v>2</v>
      </c>
      <c r="B58" s="80"/>
      <c r="C58" s="44">
        <f>SUM(C14:C57)</f>
        <v>196707.97985999999</v>
      </c>
      <c r="D58" s="53">
        <f>SUM(D12:D57)</f>
        <v>178551.87</v>
      </c>
      <c r="E58" s="53">
        <f>D58*12</f>
        <v>2142622.44</v>
      </c>
    </row>
    <row r="59" spans="1:6" ht="13.5" customHeight="1" thickBot="1" x14ac:dyDescent="0.3">
      <c r="A59" s="54" t="s">
        <v>8</v>
      </c>
      <c r="B59" s="55" t="s">
        <v>47</v>
      </c>
      <c r="C59" s="55" t="s">
        <v>77</v>
      </c>
      <c r="D59" s="56"/>
      <c r="E59" s="57" t="s">
        <v>78</v>
      </c>
    </row>
    <row r="60" spans="1:6" ht="13.5" customHeight="1" x14ac:dyDescent="0.25">
      <c r="A60" s="49" t="s">
        <v>9</v>
      </c>
      <c r="B60" s="58" t="s">
        <v>139</v>
      </c>
      <c r="C60" s="39">
        <v>134792.35</v>
      </c>
      <c r="D60" s="39">
        <v>155000</v>
      </c>
      <c r="E60" s="59">
        <f>D60*12</f>
        <v>1860000</v>
      </c>
      <c r="F60" s="77" t="s">
        <v>120</v>
      </c>
    </row>
    <row r="61" spans="1:6" ht="13.5" customHeight="1" x14ac:dyDescent="0.25">
      <c r="A61" s="49" t="s">
        <v>10</v>
      </c>
      <c r="B61" s="28" t="s">
        <v>140</v>
      </c>
      <c r="C61" s="29">
        <v>11232.7</v>
      </c>
      <c r="D61" s="29">
        <f>D60/12</f>
        <v>12916.666666666666</v>
      </c>
      <c r="E61" s="59">
        <f t="shared" ref="E61:E64" si="2">D61*12</f>
        <v>155000</v>
      </c>
      <c r="F61" s="77"/>
    </row>
    <row r="62" spans="1:6" ht="13.5" customHeight="1" x14ac:dyDescent="0.25">
      <c r="A62" s="49" t="s">
        <v>48</v>
      </c>
      <c r="B62" s="28" t="s">
        <v>142</v>
      </c>
      <c r="C62" s="29">
        <v>5952.45</v>
      </c>
      <c r="D62" s="29">
        <v>7680</v>
      </c>
      <c r="E62" s="59">
        <f t="shared" si="2"/>
        <v>92160</v>
      </c>
      <c r="F62" s="77"/>
    </row>
    <row r="63" spans="1:6" ht="13.5" customHeight="1" x14ac:dyDescent="0.25">
      <c r="A63" s="49" t="s">
        <v>49</v>
      </c>
      <c r="B63" s="28" t="s">
        <v>141</v>
      </c>
      <c r="C63" s="29">
        <v>45310</v>
      </c>
      <c r="D63" s="29">
        <v>59850</v>
      </c>
      <c r="E63" s="59">
        <f t="shared" si="2"/>
        <v>718200</v>
      </c>
      <c r="F63" s="77"/>
    </row>
    <row r="64" spans="1:6" ht="13.5" customHeight="1" x14ac:dyDescent="0.25">
      <c r="A64" s="49" t="s">
        <v>50</v>
      </c>
      <c r="B64" s="28" t="s">
        <v>55</v>
      </c>
      <c r="C64" s="29">
        <v>13995</v>
      </c>
      <c r="D64" s="29">
        <v>16356.89</v>
      </c>
      <c r="E64" s="59">
        <f t="shared" si="2"/>
        <v>196282.68</v>
      </c>
      <c r="F64" s="77"/>
    </row>
    <row r="65" spans="1:7" ht="13.5" customHeight="1" x14ac:dyDescent="0.25">
      <c r="A65" s="49" t="s">
        <v>51</v>
      </c>
      <c r="B65" s="28" t="s">
        <v>58</v>
      </c>
      <c r="C65" s="29">
        <v>1000</v>
      </c>
      <c r="D65" s="29">
        <v>1035</v>
      </c>
      <c r="E65" s="59">
        <f>D65*12</f>
        <v>12420</v>
      </c>
      <c r="F65" s="77"/>
    </row>
    <row r="66" spans="1:7" ht="13.5" customHeight="1" x14ac:dyDescent="0.25">
      <c r="A66" s="49" t="s">
        <v>52</v>
      </c>
      <c r="B66" s="28" t="s">
        <v>97</v>
      </c>
      <c r="C66" s="29">
        <v>1550</v>
      </c>
      <c r="D66" s="29">
        <v>1550</v>
      </c>
      <c r="E66" s="59">
        <f t="shared" ref="E66:E74" si="3">D66*12</f>
        <v>18600</v>
      </c>
      <c r="F66" s="77"/>
    </row>
    <row r="67" spans="1:7" ht="13.5" customHeight="1" x14ac:dyDescent="0.25">
      <c r="A67" s="49" t="s">
        <v>53</v>
      </c>
      <c r="B67" s="28" t="s">
        <v>135</v>
      </c>
      <c r="C67" s="29">
        <v>2975</v>
      </c>
      <c r="D67" s="29">
        <v>4833</v>
      </c>
      <c r="E67" s="59">
        <f t="shared" si="3"/>
        <v>57996</v>
      </c>
      <c r="F67" s="77"/>
    </row>
    <row r="68" spans="1:7" ht="13.5" customHeight="1" x14ac:dyDescent="0.25">
      <c r="A68" s="49" t="s">
        <v>54</v>
      </c>
      <c r="B68" s="28" t="s">
        <v>149</v>
      </c>
      <c r="C68" s="29">
        <v>61079.42</v>
      </c>
      <c r="D68" s="29">
        <v>67033.36</v>
      </c>
      <c r="E68" s="59">
        <f t="shared" si="3"/>
        <v>804400.32000000007</v>
      </c>
      <c r="F68" s="77"/>
    </row>
    <row r="69" spans="1:7" ht="13.5" customHeight="1" x14ac:dyDescent="0.25">
      <c r="A69" s="49" t="s">
        <v>168</v>
      </c>
      <c r="B69" s="28" t="s">
        <v>148</v>
      </c>
      <c r="C69" s="29">
        <v>13953.14</v>
      </c>
      <c r="D69" s="29">
        <v>16980</v>
      </c>
      <c r="E69" s="59">
        <f t="shared" si="3"/>
        <v>203760</v>
      </c>
      <c r="F69" s="77"/>
    </row>
    <row r="70" spans="1:7" ht="13.5" customHeight="1" x14ac:dyDescent="0.25">
      <c r="A70" s="49" t="s">
        <v>169</v>
      </c>
      <c r="B70" s="28" t="s">
        <v>59</v>
      </c>
      <c r="C70" s="29">
        <v>1445.27</v>
      </c>
      <c r="D70" s="29">
        <v>1802.95</v>
      </c>
      <c r="E70" s="59">
        <f t="shared" si="3"/>
        <v>21635.4</v>
      </c>
      <c r="F70" s="77"/>
    </row>
    <row r="71" spans="1:7" ht="13.5" customHeight="1" x14ac:dyDescent="0.25">
      <c r="A71" s="49" t="s">
        <v>170</v>
      </c>
      <c r="B71" s="28" t="s">
        <v>61</v>
      </c>
      <c r="C71" s="29">
        <v>1250</v>
      </c>
      <c r="D71" s="29">
        <v>2331.7800000000002</v>
      </c>
      <c r="E71" s="59">
        <f t="shared" si="3"/>
        <v>27981.360000000001</v>
      </c>
      <c r="F71" s="77"/>
    </row>
    <row r="72" spans="1:7" ht="13.5" customHeight="1" x14ac:dyDescent="0.25">
      <c r="A72" s="49" t="s">
        <v>171</v>
      </c>
      <c r="B72" s="28" t="s">
        <v>62</v>
      </c>
      <c r="C72" s="29">
        <v>1800</v>
      </c>
      <c r="D72" s="29">
        <v>2050</v>
      </c>
      <c r="E72" s="59">
        <f t="shared" si="3"/>
        <v>24600</v>
      </c>
      <c r="F72" s="77"/>
    </row>
    <row r="73" spans="1:7" ht="13.5" customHeight="1" x14ac:dyDescent="0.25">
      <c r="A73" s="49" t="s">
        <v>172</v>
      </c>
      <c r="B73" s="28" t="s">
        <v>63</v>
      </c>
      <c r="C73" s="29">
        <v>4000</v>
      </c>
      <c r="D73" s="29">
        <v>4000</v>
      </c>
      <c r="E73" s="59">
        <f t="shared" si="3"/>
        <v>48000</v>
      </c>
      <c r="F73" s="77"/>
    </row>
    <row r="74" spans="1:7" ht="13.5" customHeight="1" x14ac:dyDescent="0.25">
      <c r="A74" s="49" t="s">
        <v>60</v>
      </c>
      <c r="B74" s="28" t="s">
        <v>166</v>
      </c>
      <c r="C74" s="29">
        <v>100</v>
      </c>
      <c r="D74" s="29">
        <v>1150</v>
      </c>
      <c r="E74" s="59">
        <f t="shared" si="3"/>
        <v>13800</v>
      </c>
      <c r="F74" s="77"/>
    </row>
    <row r="75" spans="1:7" ht="13.5" customHeight="1" thickBot="1" x14ac:dyDescent="0.3">
      <c r="A75" s="78" t="s">
        <v>17</v>
      </c>
      <c r="B75" s="78"/>
      <c r="C75" s="17">
        <f>SUM(C60:C74)</f>
        <v>300435.33000000007</v>
      </c>
      <c r="D75" s="17">
        <f>SUM(D60:D74)</f>
        <v>354569.64666666667</v>
      </c>
      <c r="E75" s="17">
        <f>D75*12</f>
        <v>4254835.76</v>
      </c>
      <c r="F75" s="77"/>
    </row>
    <row r="76" spans="1:7" ht="13.5" customHeight="1" thickBot="1" x14ac:dyDescent="0.3">
      <c r="A76" s="22" t="s">
        <v>11</v>
      </c>
      <c r="B76" s="23" t="s">
        <v>64</v>
      </c>
      <c r="C76" s="19" t="s">
        <v>77</v>
      </c>
      <c r="D76" s="38"/>
      <c r="E76" s="20" t="s">
        <v>78</v>
      </c>
    </row>
    <row r="77" spans="1:7" ht="13.5" customHeight="1" x14ac:dyDescent="0.25">
      <c r="A77" s="21" t="s">
        <v>12</v>
      </c>
      <c r="B77" s="12" t="s">
        <v>81</v>
      </c>
      <c r="C77" s="13">
        <v>2350</v>
      </c>
      <c r="D77" s="13">
        <v>2800</v>
      </c>
      <c r="E77" s="18">
        <f>D77*12</f>
        <v>33600</v>
      </c>
      <c r="F77" s="88" t="s">
        <v>119</v>
      </c>
    </row>
    <row r="78" spans="1:7" ht="13.5" customHeight="1" x14ac:dyDescent="0.25">
      <c r="A78" s="4" t="s">
        <v>65</v>
      </c>
      <c r="B78" s="11" t="s">
        <v>100</v>
      </c>
      <c r="C78" s="3">
        <v>1750</v>
      </c>
      <c r="D78" s="3">
        <v>2500</v>
      </c>
      <c r="E78" s="18">
        <f>D78*12</f>
        <v>30000</v>
      </c>
      <c r="F78" s="89"/>
    </row>
    <row r="79" spans="1:7" ht="13.5" customHeight="1" x14ac:dyDescent="0.25">
      <c r="A79" s="79" t="s">
        <v>17</v>
      </c>
      <c r="B79" s="79"/>
      <c r="C79" s="5">
        <f>SUM(C77:C78)</f>
        <v>4100</v>
      </c>
      <c r="D79" s="5">
        <f>SUM(D77:D78)</f>
        <v>5300</v>
      </c>
      <c r="E79" s="18">
        <f>D79*12</f>
        <v>63600</v>
      </c>
      <c r="F79" s="90"/>
      <c r="G79" s="2"/>
    </row>
    <row r="80" spans="1:7" ht="13.5" customHeight="1" thickBot="1" x14ac:dyDescent="0.3">
      <c r="A80" s="80" t="s">
        <v>122</v>
      </c>
      <c r="B80" s="80"/>
      <c r="C80" s="24">
        <f>C79+C75+C58</f>
        <v>501243.30986000004</v>
      </c>
      <c r="D80" s="24">
        <f>D79+D75+D58</f>
        <v>538421.5166666666</v>
      </c>
      <c r="E80" s="17">
        <f>D80*12</f>
        <v>6461058.1999999993</v>
      </c>
    </row>
    <row r="81" spans="1:9" ht="13.5" customHeight="1" thickBot="1" x14ac:dyDescent="0.3">
      <c r="A81" s="22" t="s">
        <v>13</v>
      </c>
      <c r="B81" s="25" t="s">
        <v>121</v>
      </c>
      <c r="C81" s="19" t="s">
        <v>77</v>
      </c>
      <c r="D81" s="38"/>
      <c r="E81" s="20" t="s">
        <v>78</v>
      </c>
    </row>
    <row r="82" spans="1:9" ht="13.5" customHeight="1" x14ac:dyDescent="0.25">
      <c r="A82" s="21" t="s">
        <v>14</v>
      </c>
      <c r="B82" s="12" t="s">
        <v>79</v>
      </c>
      <c r="C82" s="13">
        <f>C80*10%</f>
        <v>50124.330986000008</v>
      </c>
      <c r="D82" s="13">
        <f>D80*10%</f>
        <v>53842.151666666665</v>
      </c>
      <c r="E82" s="14">
        <f t="shared" ref="E82:E86" si="4">D82*12</f>
        <v>646105.81999999995</v>
      </c>
      <c r="F82" s="83"/>
    </row>
    <row r="83" spans="1:9" ht="13.5" customHeight="1" x14ac:dyDescent="0.25">
      <c r="A83" s="60" t="s">
        <v>124</v>
      </c>
      <c r="B83" s="28" t="s">
        <v>155</v>
      </c>
      <c r="C83" s="29">
        <f>C80*10%</f>
        <v>50124.330986000008</v>
      </c>
      <c r="D83" s="29">
        <v>24952.36</v>
      </c>
      <c r="E83" s="61">
        <f t="shared" si="4"/>
        <v>299428.32</v>
      </c>
      <c r="F83" s="83"/>
    </row>
    <row r="84" spans="1:9" ht="13.5" customHeight="1" x14ac:dyDescent="0.25">
      <c r="A84" s="79" t="s">
        <v>3</v>
      </c>
      <c r="B84" s="79"/>
      <c r="C84" s="8">
        <f>SUM(C82:C83)</f>
        <v>100248.66197200002</v>
      </c>
      <c r="D84" s="8">
        <f>SUM(D82:D83)</f>
        <v>78794.511666666658</v>
      </c>
      <c r="E84" s="26">
        <f t="shared" si="4"/>
        <v>945534.1399999999</v>
      </c>
    </row>
    <row r="85" spans="1:9" ht="13.5" customHeight="1" thickBot="1" x14ac:dyDescent="0.3">
      <c r="A85" s="80" t="s">
        <v>4</v>
      </c>
      <c r="B85" s="80"/>
      <c r="C85" s="44">
        <f>C84+C80</f>
        <v>601491.97183200007</v>
      </c>
      <c r="D85" s="44">
        <f>D84+D80</f>
        <v>617216.02833333332</v>
      </c>
      <c r="E85" s="27">
        <f t="shared" si="4"/>
        <v>7406592.3399999999</v>
      </c>
    </row>
    <row r="86" spans="1:9" ht="13.5" customHeight="1" x14ac:dyDescent="0.25">
      <c r="A86" s="84" t="s">
        <v>151</v>
      </c>
      <c r="B86" s="85"/>
      <c r="C86" s="45">
        <v>26403.63</v>
      </c>
      <c r="D86" s="45">
        <v>25461.02</v>
      </c>
      <c r="E86" s="46">
        <f t="shared" si="4"/>
        <v>305532.24</v>
      </c>
    </row>
    <row r="87" spans="1:9" ht="13.5" customHeight="1" x14ac:dyDescent="0.25">
      <c r="A87" s="81" t="s">
        <v>153</v>
      </c>
      <c r="B87" s="82"/>
      <c r="C87" s="35"/>
      <c r="D87" s="42">
        <v>16666.666659999999</v>
      </c>
      <c r="E87" s="47">
        <f>D87*12</f>
        <v>199999.99991999997</v>
      </c>
    </row>
    <row r="88" spans="1:9" ht="13.5" customHeight="1" thickBot="1" x14ac:dyDescent="0.3">
      <c r="A88" s="86" t="s">
        <v>123</v>
      </c>
      <c r="B88" s="87"/>
      <c r="C88" s="41">
        <f>C85-C86</f>
        <v>575088.34183200006</v>
      </c>
      <c r="D88" s="41">
        <f>D85-D86-D87</f>
        <v>575088.34167333331</v>
      </c>
      <c r="E88" s="48">
        <f>D88*12</f>
        <v>6901060.1000800002</v>
      </c>
      <c r="I88" s="2"/>
    </row>
    <row r="89" spans="1:9" ht="6.95" customHeight="1" thickBot="1" x14ac:dyDescent="0.3">
      <c r="A89" s="32"/>
      <c r="B89" s="32"/>
      <c r="C89" s="33"/>
      <c r="D89" s="33"/>
      <c r="E89" s="34"/>
    </row>
    <row r="90" spans="1:9" ht="15.75" thickBot="1" x14ac:dyDescent="0.3">
      <c r="A90" s="68" t="s">
        <v>146</v>
      </c>
      <c r="B90" s="69"/>
      <c r="C90" s="70">
        <f>D88/1045</f>
        <v>550.32377193620414</v>
      </c>
      <c r="D90" s="71"/>
      <c r="E90" s="72"/>
      <c r="F90" s="43"/>
    </row>
    <row r="91" spans="1:9" ht="15.75" thickBot="1" x14ac:dyDescent="0.3">
      <c r="A91" s="68" t="s">
        <v>147</v>
      </c>
      <c r="B91" s="69"/>
      <c r="C91" s="70">
        <v>611.47</v>
      </c>
      <c r="D91" s="71"/>
      <c r="E91" s="72"/>
      <c r="G91" s="2"/>
    </row>
    <row r="92" spans="1:9" ht="6.95" customHeight="1" thickBot="1" x14ac:dyDescent="0.3">
      <c r="A92" s="30"/>
      <c r="B92" s="30"/>
      <c r="C92" s="9"/>
      <c r="D92" s="9"/>
    </row>
    <row r="93" spans="1:9" ht="15.75" thickBot="1" x14ac:dyDescent="0.3">
      <c r="A93" s="68" t="s">
        <v>143</v>
      </c>
      <c r="B93" s="73"/>
      <c r="C93" s="74">
        <v>550.32000000000005</v>
      </c>
      <c r="D93" s="75"/>
      <c r="E93" s="76"/>
    </row>
    <row r="94" spans="1:9" ht="15.75" thickBot="1" x14ac:dyDescent="0.3">
      <c r="A94" s="68" t="s">
        <v>144</v>
      </c>
      <c r="B94" s="69"/>
      <c r="C94" s="74">
        <v>611.47</v>
      </c>
      <c r="D94" s="75"/>
      <c r="E94" s="76"/>
    </row>
    <row r="95" spans="1:9" ht="6.95" customHeight="1" thickBot="1" x14ac:dyDescent="0.3"/>
    <row r="96" spans="1:9" ht="15.75" thickBot="1" x14ac:dyDescent="0.3">
      <c r="A96" s="66" t="s">
        <v>125</v>
      </c>
      <c r="B96" s="67"/>
      <c r="C96" s="36">
        <f>C90-C93</f>
        <v>3.7719362040888882E-3</v>
      </c>
      <c r="D96" s="36"/>
      <c r="E96" s="37">
        <f>C96/C93%/100</f>
        <v>6.85407799841708E-6</v>
      </c>
    </row>
  </sheetData>
  <mergeCells count="33">
    <mergeCell ref="A8:E8"/>
    <mergeCell ref="A9:E9"/>
    <mergeCell ref="A10:E10"/>
    <mergeCell ref="C12:C13"/>
    <mergeCell ref="E12:E13"/>
    <mergeCell ref="F46:F51"/>
    <mergeCell ref="F52:F56"/>
    <mergeCell ref="D12:D13"/>
    <mergeCell ref="A58:B58"/>
    <mergeCell ref="F14:F24"/>
    <mergeCell ref="F26:F28"/>
    <mergeCell ref="F29:F42"/>
    <mergeCell ref="F43:F45"/>
    <mergeCell ref="C90:E90"/>
    <mergeCell ref="F60:F75"/>
    <mergeCell ref="A75:B75"/>
    <mergeCell ref="A79:B79"/>
    <mergeCell ref="A80:B80"/>
    <mergeCell ref="A90:B90"/>
    <mergeCell ref="A87:B87"/>
    <mergeCell ref="F82:F83"/>
    <mergeCell ref="A84:B84"/>
    <mergeCell ref="A85:B85"/>
    <mergeCell ref="A86:B86"/>
    <mergeCell ref="A88:B88"/>
    <mergeCell ref="F77:F79"/>
    <mergeCell ref="A96:B96"/>
    <mergeCell ref="A91:B91"/>
    <mergeCell ref="C91:E91"/>
    <mergeCell ref="A93:B93"/>
    <mergeCell ref="C93:E93"/>
    <mergeCell ref="A94:B94"/>
    <mergeCell ref="C94:E94"/>
  </mergeCells>
  <phoneticPr fontId="5" type="noConversion"/>
  <pageMargins left="0.51181102362204722" right="0.23622047244094491" top="0.59055118110236227" bottom="7.874015748031496E-2" header="0.31496062992125984" footer="0.31496062992125984"/>
  <pageSetup paperSize="9"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CorelDRAW.Graphic.12" shapeId="2049" r:id="rId4">
          <objectPr defaultSize="0" autoPict="0" r:id="rId5">
            <anchor moveWithCells="1" sizeWithCells="1">
              <from>
                <xdr:col>1</xdr:col>
                <xdr:colOff>2228850</xdr:colOff>
                <xdr:row>0</xdr:row>
                <xdr:rowOff>0</xdr:rowOff>
              </from>
              <to>
                <xdr:col>1</xdr:col>
                <xdr:colOff>2895600</xdr:colOff>
                <xdr:row>6</xdr:row>
                <xdr:rowOff>57150</xdr:rowOff>
              </to>
            </anchor>
          </objectPr>
        </oleObject>
      </mc:Choice>
      <mc:Fallback>
        <oleObject progId="CorelDRAW.Graphic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C46A-0C3F-4EC1-A201-E72AD785818C}">
  <dimension ref="D1:T19"/>
  <sheetViews>
    <sheetView topLeftCell="I1" workbookViewId="0">
      <selection activeCell="M20" sqref="M20"/>
    </sheetView>
  </sheetViews>
  <sheetFormatPr defaultRowHeight="15" x14ac:dyDescent="0.25"/>
  <cols>
    <col min="4" max="4" width="11.28515625" customWidth="1"/>
    <col min="5" max="7" width="20.7109375" customWidth="1"/>
    <col min="8" max="8" width="19.5703125" customWidth="1"/>
    <col min="11" max="11" width="5" customWidth="1"/>
    <col min="12" max="12" width="17.42578125" customWidth="1"/>
    <col min="14" max="14" width="16.7109375" customWidth="1"/>
    <col min="16" max="16" width="19.7109375" customWidth="1"/>
    <col min="18" max="18" width="18.28515625" customWidth="1"/>
    <col min="20" max="20" width="32.140625" customWidth="1"/>
  </cols>
  <sheetData>
    <row r="1" spans="4:20" x14ac:dyDescent="0.25">
      <c r="T1" s="62"/>
    </row>
    <row r="2" spans="4:20" x14ac:dyDescent="0.25">
      <c r="D2" t="s">
        <v>157</v>
      </c>
      <c r="E2" s="1" t="s">
        <v>158</v>
      </c>
      <c r="F2" s="1" t="s">
        <v>159</v>
      </c>
      <c r="G2" s="1"/>
      <c r="H2" s="1" t="s">
        <v>160</v>
      </c>
      <c r="L2" t="s">
        <v>161</v>
      </c>
      <c r="N2" t="s">
        <v>162</v>
      </c>
      <c r="P2" t="s">
        <v>163</v>
      </c>
      <c r="R2" t="s">
        <v>164</v>
      </c>
      <c r="T2" s="62" t="s">
        <v>165</v>
      </c>
    </row>
    <row r="3" spans="4:20" x14ac:dyDescent="0.25">
      <c r="D3" s="63">
        <v>44562</v>
      </c>
      <c r="E3" s="62">
        <v>231288.28</v>
      </c>
      <c r="F3" s="62">
        <v>142500.79</v>
      </c>
      <c r="H3" s="62"/>
      <c r="L3" s="62">
        <v>158627.70000000001</v>
      </c>
      <c r="N3" s="62">
        <v>2422.08</v>
      </c>
      <c r="P3" s="62"/>
      <c r="T3" s="62">
        <v>34853.79</v>
      </c>
    </row>
    <row r="4" spans="4:20" x14ac:dyDescent="0.25">
      <c r="D4" s="63">
        <v>44593</v>
      </c>
      <c r="E4" s="62">
        <v>191152.53</v>
      </c>
      <c r="F4" s="62">
        <v>132933.37</v>
      </c>
      <c r="H4" s="62"/>
      <c r="L4" s="62">
        <v>147990.25</v>
      </c>
      <c r="N4" s="62">
        <v>1695.51</v>
      </c>
      <c r="P4" s="62"/>
      <c r="R4" s="62">
        <v>19875.88</v>
      </c>
      <c r="T4" s="62">
        <v>32407.91</v>
      </c>
    </row>
    <row r="5" spans="4:20" x14ac:dyDescent="0.25">
      <c r="D5" s="63">
        <v>44621</v>
      </c>
      <c r="E5" s="62">
        <v>198721.66</v>
      </c>
      <c r="F5" s="62">
        <v>141259.79999999999</v>
      </c>
      <c r="H5" s="62"/>
      <c r="L5" s="62">
        <v>154081.04999999999</v>
      </c>
      <c r="N5" s="62">
        <v>1746</v>
      </c>
      <c r="P5" s="62"/>
      <c r="R5" s="62">
        <v>73330.19</v>
      </c>
      <c r="T5" s="62">
        <v>31138.32</v>
      </c>
    </row>
    <row r="6" spans="4:20" x14ac:dyDescent="0.25">
      <c r="D6" s="63">
        <v>44652</v>
      </c>
      <c r="E6" s="62">
        <v>200647.85</v>
      </c>
      <c r="F6" s="62">
        <v>141073.70000000001</v>
      </c>
      <c r="H6" s="62"/>
      <c r="L6" s="62">
        <v>163107.37</v>
      </c>
      <c r="N6" s="62">
        <v>2320</v>
      </c>
      <c r="P6" s="62"/>
      <c r="R6" s="62">
        <v>72154.28</v>
      </c>
      <c r="T6" s="62">
        <v>48314.7</v>
      </c>
    </row>
    <row r="7" spans="4:20" x14ac:dyDescent="0.25">
      <c r="D7" s="63">
        <v>44682</v>
      </c>
      <c r="E7" s="62">
        <v>202385.89</v>
      </c>
      <c r="F7" s="62">
        <v>136168.43</v>
      </c>
      <c r="H7" s="62"/>
      <c r="L7" s="62">
        <v>158785.60999999999</v>
      </c>
      <c r="N7" s="62">
        <v>2159</v>
      </c>
      <c r="P7" s="62"/>
      <c r="R7" s="62">
        <v>57548.55</v>
      </c>
      <c r="T7" s="62">
        <v>36581.370000000003</v>
      </c>
    </row>
    <row r="8" spans="4:20" x14ac:dyDescent="0.25">
      <c r="D8" s="63">
        <v>44713</v>
      </c>
      <c r="E8" s="62">
        <v>200913.23</v>
      </c>
      <c r="F8" s="62">
        <v>135640.57999999999</v>
      </c>
      <c r="H8" s="62"/>
      <c r="L8" s="62">
        <v>155918.75</v>
      </c>
      <c r="N8" s="62">
        <v>1949</v>
      </c>
      <c r="P8" s="62"/>
      <c r="R8" s="62">
        <v>22788.87</v>
      </c>
      <c r="T8" s="62">
        <v>14494.41</v>
      </c>
    </row>
    <row r="9" spans="4:20" x14ac:dyDescent="0.25">
      <c r="D9" s="63">
        <v>44743</v>
      </c>
      <c r="E9" s="62">
        <v>195118.93</v>
      </c>
      <c r="F9" s="62">
        <v>137863.45000000001</v>
      </c>
      <c r="H9" s="62"/>
      <c r="L9" s="62">
        <v>158395.24</v>
      </c>
      <c r="N9" s="62">
        <v>1744</v>
      </c>
      <c r="P9" s="62"/>
      <c r="R9" s="62">
        <v>12094.8</v>
      </c>
      <c r="T9" s="62">
        <v>15184.62</v>
      </c>
    </row>
    <row r="10" spans="4:20" x14ac:dyDescent="0.25">
      <c r="D10" s="63">
        <v>44774</v>
      </c>
      <c r="E10" s="62">
        <v>208776.53</v>
      </c>
      <c r="F10" s="62">
        <v>147033.06</v>
      </c>
      <c r="H10" s="62"/>
      <c r="L10" s="62">
        <v>170965.98</v>
      </c>
      <c r="N10" s="62">
        <v>2770</v>
      </c>
      <c r="P10" s="62"/>
      <c r="R10" s="62">
        <v>12580.42</v>
      </c>
      <c r="T10" s="62">
        <v>23467.14</v>
      </c>
    </row>
    <row r="11" spans="4:20" x14ac:dyDescent="0.25">
      <c r="E11" s="2">
        <f>SUM(E3:E10)</f>
        <v>1629004.9</v>
      </c>
      <c r="F11" s="2">
        <f>SUM(F3:F10)</f>
        <v>1114473.1800000002</v>
      </c>
      <c r="H11" s="62"/>
      <c r="L11" s="2">
        <f>SUM(L3:L10)</f>
        <v>1267871.95</v>
      </c>
      <c r="N11" s="2">
        <f>SUM(N3:N10)</f>
        <v>16805.59</v>
      </c>
      <c r="P11" s="62"/>
      <c r="R11" s="62">
        <v>11367.18</v>
      </c>
      <c r="T11" s="62">
        <v>23467.14</v>
      </c>
    </row>
    <row r="12" spans="4:20" x14ac:dyDescent="0.25">
      <c r="E12" s="2">
        <f>E11/8</f>
        <v>203625.61249999999</v>
      </c>
      <c r="F12" s="2">
        <f>F11/8</f>
        <v>139309.14750000002</v>
      </c>
      <c r="H12" s="62"/>
      <c r="L12" s="2">
        <f>L11/8</f>
        <v>158483.99374999999</v>
      </c>
      <c r="N12" s="2">
        <f>N11/8</f>
        <v>2100.69875</v>
      </c>
      <c r="P12" s="62"/>
      <c r="R12" s="62">
        <v>10154.450000000001</v>
      </c>
      <c r="T12" s="62">
        <f>SUM(T1:T11)</f>
        <v>259909.39999999997</v>
      </c>
    </row>
    <row r="13" spans="4:20" x14ac:dyDescent="0.25">
      <c r="H13" s="62"/>
      <c r="L13" s="2">
        <f>L12*11%</f>
        <v>17433.239312499998</v>
      </c>
      <c r="N13" s="64">
        <v>0.11</v>
      </c>
      <c r="P13" s="62"/>
      <c r="R13" s="62">
        <v>856.22</v>
      </c>
      <c r="T13" s="2"/>
    </row>
    <row r="14" spans="4:20" x14ac:dyDescent="0.25">
      <c r="F14" s="2">
        <f>E12-F12</f>
        <v>64316.464999999967</v>
      </c>
      <c r="H14" s="62">
        <f>E12</f>
        <v>203625.61249999999</v>
      </c>
      <c r="L14" s="2">
        <f>L13+L12</f>
        <v>175917.23306249999</v>
      </c>
      <c r="N14" s="2">
        <f>N12*N13</f>
        <v>231.0768625</v>
      </c>
      <c r="P14" s="62">
        <f>E19</f>
        <v>226024.42987499997</v>
      </c>
      <c r="R14" s="62">
        <v>12214.12</v>
      </c>
    </row>
    <row r="15" spans="4:20" x14ac:dyDescent="0.25">
      <c r="P15" s="64">
        <v>0.08</v>
      </c>
      <c r="R15" s="62">
        <v>567.30999999999995</v>
      </c>
      <c r="T15" s="2">
        <f>T12/8</f>
        <v>32488.674999999996</v>
      </c>
    </row>
    <row r="16" spans="4:20" x14ac:dyDescent="0.25">
      <c r="E16" s="2">
        <f>E12*11%</f>
        <v>22398.817374999999</v>
      </c>
      <c r="F16">
        <f>F14/E12%</f>
        <v>31.585645936362731</v>
      </c>
      <c r="H16" s="2">
        <f>H14*I16</f>
        <v>54571.664149999997</v>
      </c>
      <c r="I16" s="65">
        <v>0.26800000000000002</v>
      </c>
      <c r="R16" s="62">
        <f>SUM(R4:R15)</f>
        <v>305532.26999999996</v>
      </c>
    </row>
    <row r="17" spans="5:18" x14ac:dyDescent="0.25">
      <c r="F17" s="2">
        <f>E19*F16%</f>
        <v>71391.276149999961</v>
      </c>
      <c r="H17" s="2">
        <f>H14*I17</f>
        <v>18326.305124999999</v>
      </c>
      <c r="I17" s="64">
        <v>0.09</v>
      </c>
      <c r="K17" s="64">
        <v>0.01</v>
      </c>
      <c r="L17" s="2">
        <f>L14*K17</f>
        <v>1759.1723306249999</v>
      </c>
      <c r="N17" s="2">
        <f>N12+N14</f>
        <v>2331.7756125000001</v>
      </c>
      <c r="P17" s="2">
        <f>P14*P15</f>
        <v>18081.954389999999</v>
      </c>
      <c r="R17" s="62"/>
    </row>
    <row r="18" spans="5:18" x14ac:dyDescent="0.25">
      <c r="F18" s="2">
        <f>E19-F17</f>
        <v>154633.15372500001</v>
      </c>
      <c r="R18" s="62">
        <f>R16/12</f>
        <v>25461.022499999995</v>
      </c>
    </row>
    <row r="19" spans="5:18" x14ac:dyDescent="0.25">
      <c r="E19" s="2">
        <f>E12+E16</f>
        <v>226024.42987499997</v>
      </c>
      <c r="F19" s="2">
        <f>F12+F17</f>
        <v>210700.42364999998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D9CEC-FF9A-42ED-80B9-395BCC09718B}">
  <dimension ref="C3:C29"/>
  <sheetViews>
    <sheetView workbookViewId="0">
      <selection activeCell="R18" sqref="R18"/>
    </sheetView>
  </sheetViews>
  <sheetFormatPr defaultRowHeight="15" x14ac:dyDescent="0.25"/>
  <cols>
    <col min="3" max="3" width="19.5703125" customWidth="1"/>
    <col min="4" max="4" width="35" customWidth="1"/>
  </cols>
  <sheetData>
    <row r="3" spans="3:3" x14ac:dyDescent="0.25">
      <c r="C3" s="2">
        <v>163773.63</v>
      </c>
    </row>
    <row r="4" spans="3:3" x14ac:dyDescent="0.25">
      <c r="C4" s="2">
        <v>169385.31</v>
      </c>
    </row>
    <row r="5" spans="3:3" x14ac:dyDescent="0.25">
      <c r="C5" s="2">
        <v>177380.24</v>
      </c>
    </row>
    <row r="6" spans="3:3" x14ac:dyDescent="0.25">
      <c r="C6" s="2">
        <v>176359.93</v>
      </c>
    </row>
    <row r="7" spans="3:3" x14ac:dyDescent="0.25">
      <c r="C7" s="2">
        <v>174621.62</v>
      </c>
    </row>
    <row r="8" spans="3:3" x14ac:dyDescent="0.25">
      <c r="C8" s="2">
        <v>172306.16</v>
      </c>
    </row>
    <row r="9" spans="3:3" x14ac:dyDescent="0.25">
      <c r="C9" s="2">
        <v>184195.3</v>
      </c>
    </row>
    <row r="11" spans="3:3" x14ac:dyDescent="0.25">
      <c r="C11" s="2">
        <f>SUM(C3:C9)</f>
        <v>1218022.19</v>
      </c>
    </row>
    <row r="13" spans="3:3" x14ac:dyDescent="0.25">
      <c r="C13" s="2">
        <f>C11/7</f>
        <v>174003.16999999998</v>
      </c>
    </row>
    <row r="15" spans="3:3" x14ac:dyDescent="0.25">
      <c r="C15" s="2">
        <f>C13*26.8%</f>
        <v>46632.849559999995</v>
      </c>
    </row>
    <row r="17" spans="3:3" x14ac:dyDescent="0.25">
      <c r="C17" s="2">
        <f>C15/12</f>
        <v>3886.0707966666664</v>
      </c>
    </row>
    <row r="20" spans="3:3" x14ac:dyDescent="0.25">
      <c r="C20" s="2">
        <f>C13*9%</f>
        <v>15660.285299999998</v>
      </c>
    </row>
    <row r="22" spans="3:3" x14ac:dyDescent="0.25">
      <c r="C22" s="2">
        <f>C13*8%</f>
        <v>13920.253599999998</v>
      </c>
    </row>
    <row r="25" spans="3:3" x14ac:dyDescent="0.25">
      <c r="C25" s="2">
        <f>C20/12</f>
        <v>1305.0237749999999</v>
      </c>
    </row>
    <row r="27" spans="3:3" x14ac:dyDescent="0.25">
      <c r="C27" s="2">
        <f>C13*8%</f>
        <v>13920.253599999998</v>
      </c>
    </row>
    <row r="29" spans="3:3" x14ac:dyDescent="0.25">
      <c r="C29" s="2">
        <f>C27/12</f>
        <v>1160.0211333333332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Amorville S. Reajuste</vt:lpstr>
      <vt:lpstr>Planilha1</vt:lpstr>
      <vt:lpstr>Planilha2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2022-09-28T18:01:51Z</cp:lastPrinted>
  <dcterms:created xsi:type="dcterms:W3CDTF">2016-08-22T10:36:46Z</dcterms:created>
  <dcterms:modified xsi:type="dcterms:W3CDTF">2022-09-29T13:10:42Z</dcterms:modified>
</cp:coreProperties>
</file>